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6740" windowHeight="10320" activeTab="0"/>
  </bookViews>
  <sheets>
    <sheet name="HeTrack from 29 Mar 05" sheetId="1" r:id="rId1"/>
    <sheet name="95-98" sheetId="2" r:id="rId2"/>
    <sheet name="98-99" sheetId="3" r:id="rId3"/>
    <sheet name="He use estimate Lar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<sst xmlns="http://schemas.openxmlformats.org/spreadsheetml/2006/main" count="249" uniqueCount="171">
  <si>
    <t>Helium Use Laramie between 24 October 1995 and 6 February 1997</t>
  </si>
  <si>
    <t>Atmospheric Science Use</t>
  </si>
  <si>
    <t>Date</t>
  </si>
  <si>
    <t>Flt No.</t>
  </si>
  <si>
    <t>Total Lift (Lbs)</t>
  </si>
  <si>
    <t xml:space="preserve"> </t>
  </si>
  <si>
    <t>wy841</t>
  </si>
  <si>
    <t>wy842</t>
  </si>
  <si>
    <t>wy843</t>
  </si>
  <si>
    <t>wy844</t>
  </si>
  <si>
    <t>wy845</t>
  </si>
  <si>
    <t>wy846</t>
  </si>
  <si>
    <t>wy847</t>
  </si>
  <si>
    <t>wy848</t>
  </si>
  <si>
    <t xml:space="preserve">  </t>
  </si>
  <si>
    <t>wy849</t>
  </si>
  <si>
    <t>Total  He used (lbs) Atmospheric Science</t>
  </si>
  <si>
    <t>Physics and Astronomy Use</t>
  </si>
  <si>
    <t>Total  He used (lbs) Physics</t>
  </si>
  <si>
    <t>Total  He used (lbs)</t>
  </si>
  <si>
    <t>Cubic ft per lb of lift</t>
  </si>
  <si>
    <t>US Welding Charges, 6 Feb 1997</t>
  </si>
  <si>
    <t>ft3</t>
  </si>
  <si>
    <t>Rate</t>
  </si>
  <si>
    <t>Helium Supplied</t>
  </si>
  <si>
    <t>Hazard Material Charge</t>
  </si>
  <si>
    <t>Shipping Charge</t>
  </si>
  <si>
    <t>Total Charges</t>
  </si>
  <si>
    <t>wy850</t>
  </si>
  <si>
    <t>wy851</t>
  </si>
  <si>
    <t>wy852</t>
  </si>
  <si>
    <t>wy853</t>
  </si>
  <si>
    <t>wy854</t>
  </si>
  <si>
    <t>wy855</t>
  </si>
  <si>
    <t>wy856</t>
  </si>
  <si>
    <t>Balloon</t>
  </si>
  <si>
    <t>wy857</t>
  </si>
  <si>
    <t>wy858</t>
  </si>
  <si>
    <t>wy859</t>
  </si>
  <si>
    <t>wy860</t>
  </si>
  <si>
    <t>wy861</t>
  </si>
  <si>
    <t>wy862</t>
  </si>
  <si>
    <t>wy863</t>
  </si>
  <si>
    <t>LL+Gondola</t>
  </si>
  <si>
    <t>Balloon Tore in launcher</t>
  </si>
  <si>
    <t xml:space="preserve"> " "</t>
  </si>
  <si>
    <t xml:space="preserve"> " " </t>
  </si>
  <si>
    <t>wy864</t>
  </si>
  <si>
    <t xml:space="preserve">  " "</t>
  </si>
  <si>
    <t>Squibs fired at launch</t>
  </si>
  <si>
    <t>Balloon failed at launch</t>
  </si>
  <si>
    <t>US Welding Charges, 18 November 1999</t>
  </si>
  <si>
    <t>% Free Lift</t>
  </si>
  <si>
    <t>Gas from the reserve used</t>
  </si>
  <si>
    <t>Helium use estimate</t>
  </si>
  <si>
    <t>2005-2010</t>
  </si>
  <si>
    <t>Flights per year</t>
  </si>
  <si>
    <t>Lbs of lift / flight</t>
  </si>
  <si>
    <t>Cubic feet of helium / year</t>
  </si>
  <si>
    <t>Ft3 / flight</t>
  </si>
  <si>
    <t>Grant length</t>
  </si>
  <si>
    <t>Total helium required</t>
  </si>
  <si>
    <t>ft / m</t>
  </si>
  <si>
    <t>ft, lb, s</t>
  </si>
  <si>
    <t>Air density</t>
  </si>
  <si>
    <t>atm</t>
  </si>
  <si>
    <t>lb/ft3</t>
  </si>
  <si>
    <t>kg/m3</t>
  </si>
  <si>
    <t>m3/kg</t>
  </si>
  <si>
    <t>ft3/lb</t>
  </si>
  <si>
    <t>lbs</t>
  </si>
  <si>
    <t xml:space="preserve">kg </t>
  </si>
  <si>
    <t xml:space="preserve">ft3 </t>
  </si>
  <si>
    <t>m3</t>
  </si>
  <si>
    <t>m, kg, s</t>
  </si>
  <si>
    <t xml:space="preserve">Air pressure </t>
  </si>
  <si>
    <t>Total lift</t>
  </si>
  <si>
    <t>kg</t>
  </si>
  <si>
    <t>Darwin 2005 - lift</t>
  </si>
  <si>
    <t>volume of helium</t>
  </si>
  <si>
    <t>Volum of helium one bottle</t>
  </si>
  <si>
    <t>Bottles required</t>
  </si>
  <si>
    <t>Buoyance = weight of displaced air</t>
  </si>
  <si>
    <t>=</t>
  </si>
  <si>
    <t xml:space="preserve">vol/mass = </t>
  </si>
  <si>
    <t>Laramie</t>
  </si>
  <si>
    <t>SeaLevel</t>
  </si>
  <si>
    <t>One lb of lift (ft3)</t>
  </si>
  <si>
    <t>One kg of lift (m3)</t>
  </si>
  <si>
    <t>lbs, ft3</t>
  </si>
  <si>
    <t>kg, m3</t>
  </si>
  <si>
    <t>ft3/m3</t>
  </si>
  <si>
    <t>Lift per bottle</t>
  </si>
  <si>
    <t>$</t>
  </si>
  <si>
    <t>AUD</t>
  </si>
  <si>
    <t>Cost per bottle</t>
  </si>
  <si>
    <t>Total cost for flight</t>
  </si>
  <si>
    <t>Lift estimated</t>
  </si>
  <si>
    <t>Bottle efficiency</t>
  </si>
  <si>
    <t>Revised bottle estimate</t>
  </si>
  <si>
    <t xml:space="preserve">  buoy = (FnDensair(sfcT,sfcP)-FnDensgas(sfcT,sfcP,RHe))*g*Vhe 'N</t>
  </si>
  <si>
    <t xml:space="preserve">  lbf = buoy*lbkg/g                       '  lbF = N*lbkg/g</t>
  </si>
  <si>
    <t>R</t>
  </si>
  <si>
    <t>Mair</t>
  </si>
  <si>
    <t>Mhe</t>
  </si>
  <si>
    <t>TempK</t>
  </si>
  <si>
    <t>g</t>
  </si>
  <si>
    <t>DensHe</t>
  </si>
  <si>
    <t>density of air*volume displaced</t>
  </si>
  <si>
    <t xml:space="preserve"> Def Fndensgas(tempK,prsPa,molw)</t>
  </si>
  <si>
    <t>'     Molw=molecular weight (kg/mol)), Mair=28.97, MHe=4</t>
  </si>
  <si>
    <t xml:space="preserve">   R=8.3144     'Universal gas constant (8.3144 J/(K mol)</t>
  </si>
  <si>
    <t xml:space="preserve">   Rg=R/(molw*1e-3)</t>
  </si>
  <si>
    <t xml:space="preserve">   Fndensgas=prsPa/(tempK*Rg)   'kg/m3</t>
  </si>
  <si>
    <t xml:space="preserve"> End Def</t>
  </si>
  <si>
    <t>Rair</t>
  </si>
  <si>
    <t>Rhe</t>
  </si>
  <si>
    <t>Prs (mb)</t>
  </si>
  <si>
    <t>Densair</t>
  </si>
  <si>
    <t>buoyancy</t>
  </si>
  <si>
    <t>Newtons/m3</t>
  </si>
  <si>
    <t>lbs/m3</t>
  </si>
  <si>
    <t>lb/kg</t>
  </si>
  <si>
    <t>lbs/ft3</t>
  </si>
  <si>
    <t>pi</t>
  </si>
  <si>
    <t>PSL</t>
  </si>
  <si>
    <t>psi</t>
  </si>
  <si>
    <t>Pa</t>
  </si>
  <si>
    <t>mb</t>
  </si>
  <si>
    <t>ft/m</t>
  </si>
  <si>
    <t>Wall (ft)</t>
  </si>
  <si>
    <t>Length (ft)</t>
  </si>
  <si>
    <t>OD (ft)</t>
  </si>
  <si>
    <t>Volume (ft3)</t>
  </si>
  <si>
    <t>Initial Press (psi)</t>
  </si>
  <si>
    <t>End Prs (psi)</t>
  </si>
  <si>
    <t xml:space="preserve">Released </t>
  </si>
  <si>
    <t xml:space="preserve">  vhe = (botp-botpmin)/sfcp*botvol</t>
  </si>
  <si>
    <t>Released volume (ft3) ambient</t>
  </si>
  <si>
    <t>Lift (lbs)</t>
  </si>
  <si>
    <t>lbf/N</t>
  </si>
  <si>
    <t>28 Feb, 2006</t>
  </si>
  <si>
    <t>Flights</t>
  </si>
  <si>
    <t>Mcf</t>
  </si>
  <si>
    <t>Wy875</t>
  </si>
  <si>
    <t>Wy876</t>
  </si>
  <si>
    <t>Wy877</t>
  </si>
  <si>
    <t>Wy878</t>
  </si>
  <si>
    <t>Wy879</t>
  </si>
  <si>
    <t>Wy880</t>
  </si>
  <si>
    <t>3 May, 05</t>
  </si>
  <si>
    <t>20 May, 05</t>
  </si>
  <si>
    <t>7 July, 05</t>
  </si>
  <si>
    <t>10 Aug, 05</t>
  </si>
  <si>
    <t>18 Oct, 05</t>
  </si>
  <si>
    <t>13 Feb, 06</t>
  </si>
  <si>
    <t>lift</t>
  </si>
  <si>
    <t xml:space="preserve">Actual </t>
  </si>
  <si>
    <t>Theoretical max lift from trailer</t>
  </si>
  <si>
    <t xml:space="preserve">Lift </t>
  </si>
  <si>
    <t>remaining</t>
  </si>
  <si>
    <t>Tanks</t>
  </si>
  <si>
    <t xml:space="preserve">Delivered </t>
  </si>
  <si>
    <t>29 Mar, 05</t>
  </si>
  <si>
    <t>50 Mcf</t>
  </si>
  <si>
    <t>$132/Mcf</t>
  </si>
  <si>
    <t>Mcf = 1000 ft3</t>
  </si>
  <si>
    <t>Cost =</t>
  </si>
  <si>
    <t>lift used</t>
  </si>
  <si>
    <t>Inputs Blue</t>
  </si>
  <si>
    <t>Outputs 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</si>
</sst>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4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24.00390625" style="23" customWidth="1"/>
    <col min="2" max="2" width="9.57421875" style="13" bestFit="1" customWidth="1"/>
    <col min="3" max="3" width="7.28125" style="13" customWidth="1"/>
    <col min="4" max="4" width="8.00390625" style="13" customWidth="1"/>
    <col min="5" max="5" width="7.421875" style="13" customWidth="1"/>
    <col min="6" max="6" width="7.8515625" style="13" customWidth="1"/>
    <col min="7" max="8" width="7.7109375" style="13" customWidth="1"/>
    <col min="9" max="9" width="9.8515625" style="13" customWidth="1"/>
    <col min="10" max="10" width="7.57421875" style="13" customWidth="1"/>
    <col min="11" max="11" width="5.421875" style="13" customWidth="1"/>
    <col min="12" max="16384" width="9.140625" style="13" customWidth="1"/>
  </cols>
  <sheetData>
    <row r="1" spans="1:6" ht="12.75">
      <c r="A1" s="23" t="s">
        <v>124</v>
      </c>
      <c r="B1" s="13">
        <v>3.14127</v>
      </c>
      <c r="F1" s="13" t="s">
        <v>137</v>
      </c>
    </row>
    <row r="2" spans="1:2" ht="12.75">
      <c r="A2" s="23" t="s">
        <v>122</v>
      </c>
      <c r="B2" s="13">
        <v>2.2</v>
      </c>
    </row>
    <row r="3" spans="1:6" ht="12.75">
      <c r="A3" s="23" t="s">
        <v>129</v>
      </c>
      <c r="B3" s="14">
        <v>3.28</v>
      </c>
      <c r="F3" s="13" t="s">
        <v>100</v>
      </c>
    </row>
    <row r="4" spans="1:6" ht="12.75">
      <c r="A4" s="23" t="s">
        <v>106</v>
      </c>
      <c r="B4" s="13">
        <v>9.81</v>
      </c>
      <c r="C4" s="13">
        <f>B4*B3</f>
        <v>32.1768</v>
      </c>
      <c r="F4" s="13" t="s">
        <v>101</v>
      </c>
    </row>
    <row r="5" spans="1:7" ht="12.75">
      <c r="A5" s="23" t="s">
        <v>102</v>
      </c>
      <c r="B5" s="13">
        <v>8.3144</v>
      </c>
      <c r="G5" s="13" t="s">
        <v>109</v>
      </c>
    </row>
    <row r="6" spans="1:7" ht="12.75">
      <c r="A6" s="23" t="s">
        <v>140</v>
      </c>
      <c r="B6" s="14">
        <f>B2*B3/C4</f>
        <v>0.22426095820591235</v>
      </c>
      <c r="G6" s="13" t="s">
        <v>110</v>
      </c>
    </row>
    <row r="7" spans="1:7" ht="12.75">
      <c r="A7" s="23" t="s">
        <v>125</v>
      </c>
      <c r="B7" s="15" t="s">
        <v>128</v>
      </c>
      <c r="C7" s="15" t="s">
        <v>127</v>
      </c>
      <c r="D7" s="15" t="s">
        <v>126</v>
      </c>
      <c r="G7" s="13" t="s">
        <v>111</v>
      </c>
    </row>
    <row r="8" spans="1:7" ht="12.75">
      <c r="A8" s="23" t="s">
        <v>125</v>
      </c>
      <c r="B8" s="14">
        <v>1013.25</v>
      </c>
      <c r="C8" s="13">
        <f>B8*100</f>
        <v>101325</v>
      </c>
      <c r="D8" s="14">
        <f>C8*$B$6/($B$3*12)^2</f>
        <v>14.66763541241551</v>
      </c>
      <c r="G8" s="13" t="s">
        <v>112</v>
      </c>
    </row>
    <row r="9" spans="1:7" ht="12.75">
      <c r="A9" s="35" t="s">
        <v>169</v>
      </c>
      <c r="G9" s="13" t="s">
        <v>113</v>
      </c>
    </row>
    <row r="10" spans="1:7" ht="12.75">
      <c r="A10" s="36" t="s">
        <v>170</v>
      </c>
      <c r="G10" s="13" t="s">
        <v>114</v>
      </c>
    </row>
    <row r="11" spans="1:7" ht="12.75">
      <c r="A11" s="23" t="s">
        <v>103</v>
      </c>
      <c r="B11" s="13">
        <v>28.97</v>
      </c>
      <c r="C11" s="23" t="s">
        <v>115</v>
      </c>
      <c r="D11" s="14">
        <f>$B$5/B11*1000</f>
        <v>287.0003451846738</v>
      </c>
      <c r="E11" s="23" t="s">
        <v>118</v>
      </c>
      <c r="F11" s="27">
        <f>$B$15*100/($B$14*D11)</f>
        <v>0.9955189619386675</v>
      </c>
      <c r="G11" s="13" t="s">
        <v>67</v>
      </c>
    </row>
    <row r="12" spans="1:7" ht="12.75">
      <c r="A12" s="23" t="s">
        <v>104</v>
      </c>
      <c r="B12" s="13">
        <v>4.0026</v>
      </c>
      <c r="C12" s="23" t="s">
        <v>116</v>
      </c>
      <c r="D12" s="14">
        <f>$B$5/B12*1000</f>
        <v>2077.249787638035</v>
      </c>
      <c r="E12" s="23" t="s">
        <v>107</v>
      </c>
      <c r="F12" s="27">
        <f>$B$15*100/($B$14*D12)</f>
        <v>0.13754450110651403</v>
      </c>
      <c r="G12" s="13" t="s">
        <v>67</v>
      </c>
    </row>
    <row r="14" spans="1:4" ht="12.75">
      <c r="A14" s="24" t="s">
        <v>105</v>
      </c>
      <c r="B14" s="16">
        <v>273</v>
      </c>
      <c r="C14" s="15" t="s">
        <v>127</v>
      </c>
      <c r="D14" s="15" t="s">
        <v>126</v>
      </c>
    </row>
    <row r="15" spans="1:4" ht="12.75">
      <c r="A15" s="24" t="s">
        <v>117</v>
      </c>
      <c r="B15" s="16">
        <v>780</v>
      </c>
      <c r="C15" s="13">
        <f>B15*100</f>
        <v>78000</v>
      </c>
      <c r="D15" s="14">
        <f>C15*$B$6/($B$3*12)^2</f>
        <v>11.29114791185206</v>
      </c>
    </row>
    <row r="17" spans="1:3" ht="12.75">
      <c r="A17" s="25" t="s">
        <v>119</v>
      </c>
      <c r="B17" s="18">
        <f>(F11-F12)*$B$4</f>
        <v>8.416729460763426</v>
      </c>
      <c r="C17" s="17" t="s">
        <v>120</v>
      </c>
    </row>
    <row r="18" spans="1:3" ht="12.75">
      <c r="A18" s="25" t="s">
        <v>119</v>
      </c>
      <c r="B18" s="18">
        <f>B17*B6</f>
        <v>1.8875438138307379</v>
      </c>
      <c r="C18" s="17" t="s">
        <v>121</v>
      </c>
    </row>
    <row r="19" spans="1:3" ht="12.75">
      <c r="A19" s="25" t="s">
        <v>119</v>
      </c>
      <c r="B19" s="19">
        <f>B18/(B3)^3</f>
        <v>0.053490358691663804</v>
      </c>
      <c r="C19" s="17" t="s">
        <v>123</v>
      </c>
    </row>
    <row r="20" spans="1:3" ht="12.75">
      <c r="A20" s="25"/>
      <c r="B20" s="19"/>
      <c r="C20" s="17"/>
    </row>
    <row r="21" spans="1:8" ht="12.75">
      <c r="A21" s="28" t="s">
        <v>162</v>
      </c>
      <c r="B21" s="31" t="s">
        <v>163</v>
      </c>
      <c r="C21" s="31" t="s">
        <v>164</v>
      </c>
      <c r="D21" s="31"/>
      <c r="E21" s="31" t="s">
        <v>167</v>
      </c>
      <c r="F21" s="31" t="s">
        <v>165</v>
      </c>
      <c r="H21" s="31" t="s">
        <v>166</v>
      </c>
    </row>
    <row r="22" spans="1:5" s="31" customFormat="1" ht="12.75">
      <c r="A22" s="28" t="s">
        <v>161</v>
      </c>
      <c r="B22" s="30">
        <v>1</v>
      </c>
      <c r="C22" s="30">
        <v>2</v>
      </c>
      <c r="D22" s="30">
        <v>3</v>
      </c>
      <c r="E22" s="30">
        <v>4</v>
      </c>
    </row>
    <row r="23" spans="1:6" ht="12.75">
      <c r="A23" s="26" t="s">
        <v>131</v>
      </c>
      <c r="B23" s="20">
        <v>32.3333</v>
      </c>
      <c r="C23" s="20"/>
      <c r="D23" s="20"/>
      <c r="F23" s="20"/>
    </row>
    <row r="24" spans="1:7" ht="12.75">
      <c r="A24" s="26" t="s">
        <v>132</v>
      </c>
      <c r="B24" s="20">
        <f>22/12</f>
        <v>1.8333333333333333</v>
      </c>
      <c r="C24" s="20"/>
      <c r="D24" s="20"/>
      <c r="E24" s="20"/>
      <c r="F24" s="20"/>
      <c r="G24" s="20"/>
    </row>
    <row r="25" spans="1:9" ht="12.75">
      <c r="A25" s="26" t="s">
        <v>130</v>
      </c>
      <c r="B25" s="20">
        <f>0.6/12</f>
        <v>0.049999999999999996</v>
      </c>
      <c r="C25" s="20">
        <f>0.536/12</f>
        <v>0.04466666666666667</v>
      </c>
      <c r="D25" s="20"/>
      <c r="E25" s="20"/>
      <c r="F25" s="20"/>
      <c r="G25" s="20"/>
      <c r="I25" s="13" t="s">
        <v>142</v>
      </c>
    </row>
    <row r="26" spans="1:11" ht="12.75">
      <c r="A26" s="26" t="s">
        <v>133</v>
      </c>
      <c r="B26" s="21">
        <f>B23*$B$1*((B24-2*B25)/2)^2</f>
        <v>76.28857188523999</v>
      </c>
      <c r="C26" s="20"/>
      <c r="D26" s="20"/>
      <c r="E26" s="20"/>
      <c r="F26" s="20"/>
      <c r="G26" s="20"/>
      <c r="I26" s="13" t="s">
        <v>150</v>
      </c>
      <c r="J26" s="13" t="s">
        <v>144</v>
      </c>
      <c r="K26" s="16">
        <v>186</v>
      </c>
    </row>
    <row r="27" spans="1:11" ht="12.75">
      <c r="A27" s="26" t="s">
        <v>134</v>
      </c>
      <c r="B27" s="20">
        <v>2600</v>
      </c>
      <c r="C27" s="20">
        <v>2600</v>
      </c>
      <c r="D27" s="20">
        <v>2600</v>
      </c>
      <c r="E27" s="20">
        <v>2600</v>
      </c>
      <c r="F27" s="20"/>
      <c r="G27" s="20"/>
      <c r="H27" s="20"/>
      <c r="I27" s="13" t="s">
        <v>151</v>
      </c>
      <c r="J27" s="13" t="s">
        <v>145</v>
      </c>
      <c r="K27" s="16">
        <v>188</v>
      </c>
    </row>
    <row r="28" spans="1:13" ht="12.75">
      <c r="A28" s="26" t="s">
        <v>158</v>
      </c>
      <c r="B28" s="20"/>
      <c r="C28" s="20"/>
      <c r="D28" s="20"/>
      <c r="E28" s="20"/>
      <c r="F28" s="20"/>
      <c r="G28" s="20"/>
      <c r="H28" s="20"/>
      <c r="I28" s="13" t="s">
        <v>152</v>
      </c>
      <c r="J28" s="13" t="s">
        <v>146</v>
      </c>
      <c r="K28" s="16">
        <v>228</v>
      </c>
      <c r="M28" s="20"/>
    </row>
    <row r="29" spans="1:11" ht="12.75">
      <c r="A29" s="24" t="s">
        <v>135</v>
      </c>
      <c r="B29" s="16">
        <v>500</v>
      </c>
      <c r="C29" s="16">
        <v>500</v>
      </c>
      <c r="D29" s="16">
        <v>500</v>
      </c>
      <c r="E29" s="16">
        <v>500</v>
      </c>
      <c r="F29" s="22" t="s">
        <v>143</v>
      </c>
      <c r="G29" s="22" t="s">
        <v>136</v>
      </c>
      <c r="H29" s="20"/>
      <c r="I29" s="20" t="s">
        <v>153</v>
      </c>
      <c r="J29" s="13" t="s">
        <v>147</v>
      </c>
      <c r="K29" s="16">
        <v>261</v>
      </c>
    </row>
    <row r="30" spans="1:11" ht="12.75">
      <c r="A30" s="25" t="s">
        <v>138</v>
      </c>
      <c r="B30" s="32">
        <f>($B$27-B29)/$D$15*$B$26</f>
        <v>14188.6371704368</v>
      </c>
      <c r="C30" s="32">
        <f>($B$27-C29)/$D$15*$B$26</f>
        <v>14188.6371704368</v>
      </c>
      <c r="D30" s="32">
        <f>($B$27-D29)/$D$15*$B$26</f>
        <v>14188.6371704368</v>
      </c>
      <c r="E30" s="32">
        <f>($B$27-E29)/$D$15*$B$26</f>
        <v>14188.6371704368</v>
      </c>
      <c r="F30" s="32">
        <f>SUM(B30:E30)/1000</f>
        <v>56.754548681747195</v>
      </c>
      <c r="G30" s="22" t="s">
        <v>156</v>
      </c>
      <c r="H30" s="20"/>
      <c r="I30" s="20" t="s">
        <v>154</v>
      </c>
      <c r="J30" s="13" t="s">
        <v>148</v>
      </c>
      <c r="K30" s="16">
        <v>248</v>
      </c>
    </row>
    <row r="31" spans="1:11" ht="12.75">
      <c r="A31" s="25" t="s">
        <v>139</v>
      </c>
      <c r="B31" s="32">
        <f>B30*$B$19</f>
        <v>758.9552915925382</v>
      </c>
      <c r="C31" s="32">
        <f>C30*$B$19</f>
        <v>758.9552915925382</v>
      </c>
      <c r="D31" s="32">
        <f>D30*$B$19</f>
        <v>758.9552915925382</v>
      </c>
      <c r="E31" s="32">
        <f>E30*$B$19</f>
        <v>758.9552915925382</v>
      </c>
      <c r="F31" s="17"/>
      <c r="G31" s="32">
        <f>SUM(B31:F31)</f>
        <v>3035.8211663701527</v>
      </c>
      <c r="H31" s="20"/>
      <c r="I31" s="20" t="s">
        <v>155</v>
      </c>
      <c r="J31" s="13" t="s">
        <v>149</v>
      </c>
      <c r="K31" s="16">
        <v>288</v>
      </c>
    </row>
    <row r="32" spans="1:11" ht="12.75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9" t="s">
        <v>141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4" t="s">
        <v>135</v>
      </c>
      <c r="B34" s="16">
        <v>2600</v>
      </c>
      <c r="C34" s="16">
        <v>2050</v>
      </c>
      <c r="D34" s="16">
        <v>50</v>
      </c>
      <c r="E34" s="16">
        <v>950</v>
      </c>
      <c r="F34" s="22" t="s">
        <v>143</v>
      </c>
      <c r="G34" s="22" t="s">
        <v>159</v>
      </c>
      <c r="H34" s="22" t="s">
        <v>136</v>
      </c>
      <c r="I34" s="22" t="s">
        <v>157</v>
      </c>
      <c r="J34" s="20"/>
      <c r="K34" s="20"/>
    </row>
    <row r="35" spans="1:11" ht="12.75">
      <c r="A35" s="25" t="s">
        <v>138</v>
      </c>
      <c r="B35" s="32">
        <f>($B$27-B34)/$D$15*$B$26</f>
        <v>0</v>
      </c>
      <c r="C35" s="32">
        <f>($B$27-C34)/$D$15*$B$26</f>
        <v>3716.0716398763047</v>
      </c>
      <c r="D35" s="32">
        <f>($B$27-D34)/$D$15*$B$26</f>
        <v>17229.059421244685</v>
      </c>
      <c r="E35" s="32">
        <f>($B$27-E34)/$D$15*$B$26</f>
        <v>11148.214919628914</v>
      </c>
      <c r="F35" s="32">
        <f>SUM(B35:E35)/1000</f>
        <v>32.0933459807499</v>
      </c>
      <c r="G35" s="22" t="s">
        <v>160</v>
      </c>
      <c r="H35" s="22" t="s">
        <v>156</v>
      </c>
      <c r="I35" s="22" t="s">
        <v>168</v>
      </c>
      <c r="J35" s="20"/>
      <c r="K35" s="20"/>
    </row>
    <row r="36" spans="1:11" ht="12.75">
      <c r="A36" s="25" t="s">
        <v>139</v>
      </c>
      <c r="B36" s="32">
        <f>B35*$B$19</f>
        <v>0</v>
      </c>
      <c r="C36" s="32">
        <f>C35*$B$19</f>
        <v>198.77400494090287</v>
      </c>
      <c r="D36" s="32">
        <f>D35*$B$19</f>
        <v>921.5885683623678</v>
      </c>
      <c r="E36" s="32">
        <f>E35*$B$19</f>
        <v>596.3220148227085</v>
      </c>
      <c r="F36" s="17"/>
      <c r="G36" s="32">
        <f>$G$31-H36</f>
        <v>1319.1365782441735</v>
      </c>
      <c r="H36" s="32">
        <f>SUM(B36:E36)</f>
        <v>1716.6845881259792</v>
      </c>
      <c r="I36" s="17">
        <f>SUM(K26:K31)</f>
        <v>1399</v>
      </c>
      <c r="J36" s="20"/>
      <c r="K36" s="20"/>
    </row>
    <row r="37" spans="1:11" ht="12.75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</row>
  </sheetData>
  <printOptions gridLines="1"/>
  <pageMargins left="0.75" right="0.7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0"/>
  <sheetViews>
    <sheetView workbookViewId="0" topLeftCell="A20">
      <selection activeCell="G47" sqref="G47"/>
    </sheetView>
  </sheetViews>
  <sheetFormatPr defaultColWidth="9.140625" defaultRowHeight="12.75"/>
  <cols>
    <col min="2" max="2" width="11.7109375" style="0" customWidth="1"/>
    <col min="7" max="7" width="12.7109375" style="0" customWidth="1"/>
  </cols>
  <sheetData>
    <row r="3" ht="12.75">
      <c r="A3" t="s">
        <v>0</v>
      </c>
    </row>
    <row r="6" ht="12.75">
      <c r="A6" t="s">
        <v>1</v>
      </c>
    </row>
    <row r="7" spans="2:4" ht="12.75">
      <c r="B7" t="s">
        <v>2</v>
      </c>
      <c r="C7" t="s">
        <v>3</v>
      </c>
      <c r="D7" t="s">
        <v>4</v>
      </c>
    </row>
    <row r="8" spans="1:2" ht="12.75">
      <c r="A8">
        <v>1995</v>
      </c>
      <c r="B8" t="s">
        <v>5</v>
      </c>
    </row>
    <row r="9" spans="2:4" ht="12.75">
      <c r="B9" s="6">
        <v>35755</v>
      </c>
      <c r="C9" t="s">
        <v>6</v>
      </c>
      <c r="D9">
        <v>324</v>
      </c>
    </row>
    <row r="10" spans="1:2" ht="12.75">
      <c r="A10">
        <v>1996</v>
      </c>
      <c r="B10" s="1" t="s">
        <v>5</v>
      </c>
    </row>
    <row r="11" spans="2:4" ht="12.75">
      <c r="B11" s="6">
        <v>35454</v>
      </c>
      <c r="C11" t="s">
        <v>7</v>
      </c>
      <c r="D11">
        <v>323</v>
      </c>
    </row>
    <row r="12" spans="2:4" ht="12.75">
      <c r="B12" s="6">
        <v>35591</v>
      </c>
      <c r="C12" t="s">
        <v>8</v>
      </c>
      <c r="D12">
        <v>330</v>
      </c>
    </row>
    <row r="13" spans="2:4" ht="12.75">
      <c r="B13" s="6">
        <v>35601</v>
      </c>
      <c r="C13" t="s">
        <v>9</v>
      </c>
      <c r="D13">
        <v>47</v>
      </c>
    </row>
    <row r="14" spans="2:4" ht="12.75">
      <c r="B14" s="6">
        <v>35644</v>
      </c>
      <c r="C14" t="s">
        <v>10</v>
      </c>
      <c r="D14">
        <v>338</v>
      </c>
    </row>
    <row r="15" spans="2:4" ht="12.75">
      <c r="B15" s="6">
        <v>35678</v>
      </c>
      <c r="C15" t="s">
        <v>11</v>
      </c>
      <c r="D15">
        <v>341</v>
      </c>
    </row>
    <row r="16" spans="2:4" ht="12.75">
      <c r="B16" s="6">
        <v>35744</v>
      </c>
      <c r="C16" t="s">
        <v>12</v>
      </c>
      <c r="D16">
        <v>201</v>
      </c>
    </row>
    <row r="17" spans="2:4" ht="12.75">
      <c r="B17" s="6">
        <v>35761</v>
      </c>
      <c r="C17" t="s">
        <v>13</v>
      </c>
      <c r="D17">
        <v>337</v>
      </c>
    </row>
    <row r="18" spans="1:2" ht="12.75">
      <c r="A18">
        <v>1997</v>
      </c>
      <c r="B18" s="1" t="s">
        <v>14</v>
      </c>
    </row>
    <row r="19" spans="2:4" ht="12.75">
      <c r="B19" s="6">
        <v>35452</v>
      </c>
      <c r="C19" t="s">
        <v>15</v>
      </c>
      <c r="D19">
        <v>340</v>
      </c>
    </row>
    <row r="20" spans="1:7" ht="12.75">
      <c r="A20" t="s">
        <v>16</v>
      </c>
      <c r="E20">
        <f>SUM(D9:D19)</f>
        <v>2581</v>
      </c>
      <c r="F20" s="7">
        <f>E20/E26</f>
        <v>0.7600117785630153</v>
      </c>
      <c r="G20" s="3">
        <f>F20*G33</f>
        <v>4098.086111601884</v>
      </c>
    </row>
    <row r="22" ht="12.75">
      <c r="A22" t="s">
        <v>17</v>
      </c>
    </row>
    <row r="24" spans="1:7" ht="12.75">
      <c r="A24" t="s">
        <v>18</v>
      </c>
      <c r="E24">
        <v>815</v>
      </c>
      <c r="F24" s="7">
        <f>E24/E26</f>
        <v>0.2399882214369847</v>
      </c>
      <c r="G24" s="3">
        <f>F24*G33</f>
        <v>1294.0488883981154</v>
      </c>
    </row>
    <row r="26" spans="2:5" ht="12.75">
      <c r="B26" t="s">
        <v>19</v>
      </c>
      <c r="E26">
        <f>SUM(E20:E24)</f>
        <v>3396</v>
      </c>
    </row>
    <row r="27" spans="2:5" ht="12.75">
      <c r="B27" t="s">
        <v>20</v>
      </c>
      <c r="E27" s="7">
        <f>E30/E26</f>
        <v>19.41283863368669</v>
      </c>
    </row>
    <row r="29" spans="2:6" ht="12.75">
      <c r="B29" t="s">
        <v>21</v>
      </c>
      <c r="E29" s="5" t="s">
        <v>22</v>
      </c>
      <c r="F29" s="5" t="s">
        <v>23</v>
      </c>
    </row>
    <row r="30" spans="2:7" ht="12.75">
      <c r="B30" s="4" t="s">
        <v>5</v>
      </c>
      <c r="C30" t="s">
        <v>24</v>
      </c>
      <c r="E30" s="2">
        <v>65926</v>
      </c>
      <c r="F30">
        <v>0.0725</v>
      </c>
      <c r="G30" s="3">
        <f>E30*F30</f>
        <v>4779.634999999999</v>
      </c>
    </row>
    <row r="31" spans="2:7" ht="12.75">
      <c r="B31" s="1"/>
      <c r="C31" t="s">
        <v>25</v>
      </c>
      <c r="E31" s="2"/>
      <c r="G31" s="3">
        <v>12.5</v>
      </c>
    </row>
    <row r="32" spans="3:7" ht="12.75">
      <c r="C32" t="s">
        <v>26</v>
      </c>
      <c r="G32" s="3">
        <v>600</v>
      </c>
    </row>
    <row r="33" spans="3:7" ht="12.75">
      <c r="C33" t="s">
        <v>27</v>
      </c>
      <c r="G33" s="3">
        <f>SUM(G30:G32)</f>
        <v>5392.134999999999</v>
      </c>
    </row>
    <row r="35" ht="12.75">
      <c r="A35" t="s">
        <v>1</v>
      </c>
    </row>
    <row r="36" spans="2:4" ht="12.75">
      <c r="B36" t="s">
        <v>2</v>
      </c>
      <c r="C36" t="s">
        <v>3</v>
      </c>
      <c r="D36" t="s">
        <v>4</v>
      </c>
    </row>
    <row r="37" spans="1:2" ht="12.75">
      <c r="A37">
        <v>1997</v>
      </c>
      <c r="B37" t="s">
        <v>5</v>
      </c>
    </row>
    <row r="38" spans="2:4" ht="12.75">
      <c r="B38" s="6">
        <v>35520</v>
      </c>
      <c r="C38" t="s">
        <v>28</v>
      </c>
      <c r="D38">
        <v>203</v>
      </c>
    </row>
    <row r="39" spans="2:4" ht="12.75">
      <c r="B39" s="6">
        <v>35593</v>
      </c>
      <c r="C39" t="s">
        <v>29</v>
      </c>
      <c r="D39">
        <v>342</v>
      </c>
    </row>
    <row r="40" spans="2:4" ht="12.75">
      <c r="B40" s="6">
        <v>35606</v>
      </c>
      <c r="C40" t="s">
        <v>30</v>
      </c>
      <c r="D40">
        <v>204</v>
      </c>
    </row>
    <row r="41" spans="2:4" ht="12.75">
      <c r="B41" s="6">
        <v>35636</v>
      </c>
      <c r="C41" t="s">
        <v>31</v>
      </c>
      <c r="D41">
        <v>340</v>
      </c>
    </row>
    <row r="42" spans="2:4" ht="12.75">
      <c r="B42" s="6">
        <v>35725</v>
      </c>
      <c r="C42" t="s">
        <v>32</v>
      </c>
      <c r="D42">
        <v>347</v>
      </c>
    </row>
    <row r="43" spans="1:2" ht="12.75">
      <c r="A43">
        <v>1998</v>
      </c>
      <c r="B43" s="6"/>
    </row>
    <row r="44" spans="2:4" ht="12.75">
      <c r="B44" s="6">
        <v>35909</v>
      </c>
      <c r="C44" t="s">
        <v>33</v>
      </c>
      <c r="D44">
        <v>323</v>
      </c>
    </row>
    <row r="45" spans="2:4" ht="12.75">
      <c r="B45" s="6">
        <v>35944</v>
      </c>
      <c r="C45" t="s">
        <v>34</v>
      </c>
      <c r="D45">
        <v>330</v>
      </c>
    </row>
    <row r="46" spans="2:4" ht="12.75">
      <c r="B46" s="6" t="s">
        <v>5</v>
      </c>
      <c r="C46" t="s">
        <v>5</v>
      </c>
      <c r="D46" t="s">
        <v>5</v>
      </c>
    </row>
    <row r="47" spans="1:7" ht="12.75">
      <c r="A47" t="s">
        <v>16</v>
      </c>
      <c r="E47">
        <f>SUM(D38:D46)</f>
        <v>2089</v>
      </c>
      <c r="F47" s="7" t="s">
        <v>5</v>
      </c>
      <c r="G47" s="3" t="e">
        <f>F47*G60</f>
        <v>#VALUE!</v>
      </c>
    </row>
    <row r="49" ht="12.75">
      <c r="A49" t="s">
        <v>17</v>
      </c>
    </row>
    <row r="51" spans="1:7" ht="12.75">
      <c r="A51" t="s">
        <v>18</v>
      </c>
      <c r="E51" t="s">
        <v>5</v>
      </c>
      <c r="F51" s="7" t="s">
        <v>5</v>
      </c>
      <c r="G51" s="3" t="e">
        <f>F51*G60</f>
        <v>#VALUE!</v>
      </c>
    </row>
    <row r="53" spans="2:5" ht="12.75">
      <c r="B53" t="s">
        <v>19</v>
      </c>
      <c r="E53">
        <f>SUM(E47:E51)</f>
        <v>2089</v>
      </c>
    </row>
    <row r="54" spans="2:5" ht="12.75">
      <c r="B54" t="s">
        <v>20</v>
      </c>
      <c r="E54" s="7" t="e">
        <f>E57/E53</f>
        <v>#VALUE!</v>
      </c>
    </row>
    <row r="56" spans="2:6" ht="12.75">
      <c r="B56" t="s">
        <v>21</v>
      </c>
      <c r="E56" s="5" t="s">
        <v>22</v>
      </c>
      <c r="F56" s="5" t="s">
        <v>23</v>
      </c>
    </row>
    <row r="57" spans="2:7" ht="12.75">
      <c r="B57" s="4" t="s">
        <v>5</v>
      </c>
      <c r="C57" t="s">
        <v>24</v>
      </c>
      <c r="E57" s="2" t="s">
        <v>5</v>
      </c>
      <c r="F57">
        <v>0.0725</v>
      </c>
      <c r="G57" s="3" t="s">
        <v>5</v>
      </c>
    </row>
    <row r="58" spans="2:7" ht="12.75">
      <c r="B58" s="1"/>
      <c r="C58" t="s">
        <v>25</v>
      </c>
      <c r="E58" s="2"/>
      <c r="G58" s="3" t="s">
        <v>5</v>
      </c>
    </row>
    <row r="59" spans="3:7" ht="12.75">
      <c r="C59" t="s">
        <v>26</v>
      </c>
      <c r="G59" s="3" t="s">
        <v>5</v>
      </c>
    </row>
    <row r="60" spans="3:7" ht="12.75">
      <c r="C60" t="s">
        <v>27</v>
      </c>
      <c r="G60" s="3" t="s">
        <v>5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  <rowBreaks count="1" manualBreakCount="1">
    <brk id="3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4">
      <selection activeCell="G24" sqref="G24"/>
    </sheetView>
  </sheetViews>
  <sheetFormatPr defaultColWidth="9.140625" defaultRowHeight="12.75"/>
  <cols>
    <col min="3" max="3" width="7.7109375" style="0" customWidth="1"/>
    <col min="4" max="4" width="6.7109375" style="0" customWidth="1"/>
    <col min="5" max="6" width="10.8515625" style="0" customWidth="1"/>
    <col min="9" max="9" width="12.00390625" style="0" customWidth="1"/>
    <col min="10" max="10" width="11.421875" style="0" customWidth="1"/>
  </cols>
  <sheetData>
    <row r="1" ht="12.75">
      <c r="A1" t="s">
        <v>1</v>
      </c>
    </row>
    <row r="2" spans="2:7" ht="12.75">
      <c r="B2" t="s">
        <v>2</v>
      </c>
      <c r="C2" t="s">
        <v>3</v>
      </c>
      <c r="D2" t="s">
        <v>35</v>
      </c>
      <c r="E2" t="s">
        <v>43</v>
      </c>
      <c r="F2" t="s">
        <v>52</v>
      </c>
      <c r="G2" t="s">
        <v>4</v>
      </c>
    </row>
    <row r="3" spans="1:2" ht="12.75">
      <c r="A3">
        <v>1998</v>
      </c>
      <c r="B3" t="s">
        <v>5</v>
      </c>
    </row>
    <row r="4" spans="2:7" ht="12.75">
      <c r="B4" s="6">
        <v>36377</v>
      </c>
      <c r="C4" t="s">
        <v>36</v>
      </c>
      <c r="D4">
        <v>360</v>
      </c>
      <c r="E4">
        <v>202</v>
      </c>
      <c r="F4">
        <v>17</v>
      </c>
      <c r="G4">
        <v>342</v>
      </c>
    </row>
    <row r="5" spans="1:2" ht="12.75">
      <c r="A5">
        <v>1999</v>
      </c>
      <c r="B5" s="6"/>
    </row>
    <row r="6" spans="2:7" ht="12.75">
      <c r="B6" s="6">
        <v>36237</v>
      </c>
      <c r="C6" t="s">
        <v>37</v>
      </c>
      <c r="D6">
        <v>300</v>
      </c>
      <c r="E6">
        <v>139</v>
      </c>
      <c r="F6">
        <v>22</v>
      </c>
      <c r="G6">
        <v>218</v>
      </c>
    </row>
    <row r="7" spans="2:7" ht="12.75">
      <c r="B7" s="6">
        <v>36270</v>
      </c>
      <c r="C7" t="s">
        <v>38</v>
      </c>
      <c r="D7">
        <v>360</v>
      </c>
      <c r="E7">
        <v>175</v>
      </c>
      <c r="F7">
        <v>20</v>
      </c>
      <c r="G7">
        <v>319</v>
      </c>
    </row>
    <row r="8" spans="2:8" ht="12.75">
      <c r="B8" s="6">
        <v>36332</v>
      </c>
      <c r="C8" t="s">
        <v>39</v>
      </c>
      <c r="D8">
        <v>300</v>
      </c>
      <c r="E8">
        <v>139</v>
      </c>
      <c r="F8" t="s">
        <v>5</v>
      </c>
      <c r="G8">
        <v>218</v>
      </c>
      <c r="H8" t="s">
        <v>44</v>
      </c>
    </row>
    <row r="9" spans="2:7" ht="12" customHeight="1">
      <c r="B9" s="6">
        <v>36334</v>
      </c>
      <c r="C9" t="s">
        <v>46</v>
      </c>
      <c r="D9">
        <v>300</v>
      </c>
      <c r="E9">
        <v>139</v>
      </c>
      <c r="F9">
        <v>22</v>
      </c>
      <c r="G9">
        <v>218</v>
      </c>
    </row>
    <row r="10" spans="2:8" ht="12.75">
      <c r="B10" s="6">
        <v>36357</v>
      </c>
      <c r="C10" t="s">
        <v>40</v>
      </c>
      <c r="D10">
        <v>360</v>
      </c>
      <c r="E10">
        <v>220</v>
      </c>
      <c r="G10">
        <v>354</v>
      </c>
      <c r="H10" t="s">
        <v>50</v>
      </c>
    </row>
    <row r="11" spans="1:7" ht="12.75">
      <c r="A11" t="s">
        <v>5</v>
      </c>
      <c r="B11" s="6">
        <v>36362</v>
      </c>
      <c r="C11" t="s">
        <v>45</v>
      </c>
      <c r="D11">
        <v>360</v>
      </c>
      <c r="E11">
        <v>220</v>
      </c>
      <c r="F11">
        <v>12</v>
      </c>
      <c r="G11">
        <v>345</v>
      </c>
    </row>
    <row r="12" spans="2:7" ht="12.75">
      <c r="B12" s="6">
        <v>36419</v>
      </c>
      <c r="C12" t="s">
        <v>41</v>
      </c>
      <c r="D12">
        <v>300</v>
      </c>
      <c r="E12">
        <v>142</v>
      </c>
      <c r="F12">
        <v>22</v>
      </c>
      <c r="G12">
        <v>221</v>
      </c>
    </row>
    <row r="13" spans="2:7" ht="12.75">
      <c r="B13" s="6">
        <v>36459</v>
      </c>
      <c r="C13" t="s">
        <v>42</v>
      </c>
      <c r="D13">
        <v>360</v>
      </c>
      <c r="E13">
        <v>215</v>
      </c>
      <c r="F13">
        <v>20</v>
      </c>
      <c r="G13">
        <v>359</v>
      </c>
    </row>
    <row r="14" spans="2:8" ht="12.75">
      <c r="B14" s="6">
        <v>36479</v>
      </c>
      <c r="C14" t="s">
        <v>47</v>
      </c>
      <c r="D14">
        <v>360</v>
      </c>
      <c r="E14">
        <v>220</v>
      </c>
      <c r="F14">
        <v>20</v>
      </c>
      <c r="G14">
        <v>364</v>
      </c>
      <c r="H14" t="s">
        <v>49</v>
      </c>
    </row>
    <row r="15" spans="2:8" ht="12.75">
      <c r="B15" s="6">
        <v>36481</v>
      </c>
      <c r="C15" t="s">
        <v>48</v>
      </c>
      <c r="D15">
        <v>300</v>
      </c>
      <c r="E15">
        <v>137</v>
      </c>
      <c r="F15">
        <v>20</v>
      </c>
      <c r="G15">
        <v>210</v>
      </c>
      <c r="H15" t="s">
        <v>50</v>
      </c>
    </row>
    <row r="16" spans="2:8" ht="12.75">
      <c r="B16" s="6" t="s">
        <v>5</v>
      </c>
      <c r="C16" t="s">
        <v>5</v>
      </c>
      <c r="G16" t="s">
        <v>5</v>
      </c>
      <c r="H16" t="s">
        <v>53</v>
      </c>
    </row>
    <row r="17" ht="12.75">
      <c r="B17" s="6"/>
    </row>
    <row r="18" ht="12.75">
      <c r="B18" s="6"/>
    </row>
    <row r="19" spans="1:10" ht="12.75">
      <c r="A19" t="s">
        <v>16</v>
      </c>
      <c r="G19">
        <f>SUM(G4:G16)</f>
        <v>3168</v>
      </c>
      <c r="H19" s="7" t="s">
        <v>5</v>
      </c>
      <c r="I19" s="3">
        <f>(G19/G23*I30)</f>
        <v>3725.666554054054</v>
      </c>
      <c r="J19" s="3">
        <f>I19/G19</f>
        <v>1.1760311092342342</v>
      </c>
    </row>
    <row r="21" spans="1:10" ht="12.75">
      <c r="A21" t="s">
        <v>18</v>
      </c>
      <c r="G21">
        <v>384</v>
      </c>
      <c r="H21" s="7" t="s">
        <v>5</v>
      </c>
      <c r="I21" s="3">
        <f>(G21/G23*I30)</f>
        <v>451.59594594594597</v>
      </c>
      <c r="J21" s="3">
        <f>I21/G21</f>
        <v>1.1760311092342344</v>
      </c>
    </row>
    <row r="23" spans="2:7" ht="12.75">
      <c r="B23" t="s">
        <v>19</v>
      </c>
      <c r="G23">
        <f>SUM(G19:G21)</f>
        <v>3552</v>
      </c>
    </row>
    <row r="24" spans="2:10" ht="12.75">
      <c r="B24" t="s">
        <v>20</v>
      </c>
      <c r="G24" s="7">
        <f>G27/G23</f>
        <v>16.17257882882883</v>
      </c>
      <c r="J24" s="8">
        <f>G24*H27</f>
        <v>1.1725119650900901</v>
      </c>
    </row>
    <row r="26" spans="2:8" ht="12.75">
      <c r="B26" t="s">
        <v>51</v>
      </c>
      <c r="G26" s="5" t="s">
        <v>22</v>
      </c>
      <c r="H26" s="5" t="s">
        <v>23</v>
      </c>
    </row>
    <row r="27" spans="2:9" ht="12.75">
      <c r="B27" s="4" t="s">
        <v>5</v>
      </c>
      <c r="C27" t="s">
        <v>24</v>
      </c>
      <c r="G27" s="2">
        <v>57445</v>
      </c>
      <c r="H27">
        <v>0.0725</v>
      </c>
      <c r="I27" s="3">
        <f>(G27*H27)</f>
        <v>4164.7625</v>
      </c>
    </row>
    <row r="28" spans="2:9" ht="12.75">
      <c r="B28" s="1"/>
      <c r="C28" t="s">
        <v>25</v>
      </c>
      <c r="G28" s="2"/>
      <c r="I28" s="3">
        <v>12.5</v>
      </c>
    </row>
    <row r="29" spans="3:9" ht="12.75">
      <c r="C29" t="s">
        <v>26</v>
      </c>
      <c r="I29" s="3">
        <v>0</v>
      </c>
    </row>
    <row r="30" spans="3:9" ht="12.75">
      <c r="C30" t="s">
        <v>27</v>
      </c>
      <c r="I30" s="3">
        <f>SUM(I27:I29)</f>
        <v>4177.2625</v>
      </c>
    </row>
  </sheetData>
  <printOptions gridLines="1"/>
  <pageMargins left="0.75" right="0.75" top="1" bottom="1" header="0.5" footer="0.5"/>
  <pageSetup fitToHeight="1" fitToWidth="1" horizontalDpi="600" verticalDpi="600" orientation="portrait" scale="94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D21" sqref="D21"/>
    </sheetView>
  </sheetViews>
  <sheetFormatPr defaultColWidth="9.140625" defaultRowHeight="12.75"/>
  <cols>
    <col min="1" max="1" width="22.00390625" style="0" customWidth="1"/>
    <col min="4" max="4" width="6.421875" style="0" customWidth="1"/>
    <col min="8" max="8" width="29.140625" style="0" bestFit="1" customWidth="1"/>
  </cols>
  <sheetData>
    <row r="2" spans="1:10" ht="12.75">
      <c r="A2" t="s">
        <v>54</v>
      </c>
      <c r="B2" t="s">
        <v>55</v>
      </c>
      <c r="I2" t="s">
        <v>62</v>
      </c>
      <c r="J2">
        <v>3.28</v>
      </c>
    </row>
    <row r="3" spans="2:10" ht="12.75">
      <c r="B3" s="33" t="s">
        <v>63</v>
      </c>
      <c r="C3" s="33"/>
      <c r="D3" s="34"/>
      <c r="E3" s="33" t="s">
        <v>74</v>
      </c>
      <c r="F3" s="34"/>
      <c r="G3" s="34"/>
      <c r="I3" t="s">
        <v>91</v>
      </c>
      <c r="J3" s="7">
        <f>J2^3</f>
        <v>35.28755199999999</v>
      </c>
    </row>
    <row r="4" spans="2:10" ht="12.75">
      <c r="B4" s="11" t="s">
        <v>85</v>
      </c>
      <c r="C4" s="11" t="s">
        <v>86</v>
      </c>
      <c r="D4" s="10"/>
      <c r="E4" s="11" t="s">
        <v>85</v>
      </c>
      <c r="F4" s="10" t="s">
        <v>86</v>
      </c>
      <c r="G4" s="10"/>
      <c r="I4" t="s">
        <v>85</v>
      </c>
      <c r="J4" t="s">
        <v>86</v>
      </c>
    </row>
    <row r="5" spans="1:10" ht="12.75">
      <c r="A5" t="s">
        <v>75</v>
      </c>
      <c r="B5">
        <v>0.78</v>
      </c>
      <c r="C5">
        <v>1</v>
      </c>
      <c r="D5" t="s">
        <v>65</v>
      </c>
      <c r="E5">
        <v>0.78</v>
      </c>
      <c r="F5">
        <v>1</v>
      </c>
      <c r="G5" t="s">
        <v>65</v>
      </c>
      <c r="H5" t="s">
        <v>87</v>
      </c>
      <c r="I5" s="9">
        <f>1/B6</f>
        <v>16.718570318570315</v>
      </c>
      <c r="J5" s="9">
        <f>1/C6</f>
        <v>13.040484848484844</v>
      </c>
    </row>
    <row r="6" spans="1:10" ht="12.75">
      <c r="A6" t="s">
        <v>64</v>
      </c>
      <c r="B6" s="9">
        <f>C6*B5</f>
        <v>0.05981372694824511</v>
      </c>
      <c r="C6" s="9">
        <f>2.2*F6/J2^3</f>
        <v>0.07668426531826296</v>
      </c>
      <c r="D6" t="s">
        <v>66</v>
      </c>
      <c r="E6" s="9">
        <f>F6*E5</f>
        <v>0.9594</v>
      </c>
      <c r="F6" s="9">
        <v>1.23</v>
      </c>
      <c r="G6" t="s">
        <v>67</v>
      </c>
      <c r="H6" t="s">
        <v>88</v>
      </c>
      <c r="I6" s="9">
        <f>1/E6</f>
        <v>1.0423181154888472</v>
      </c>
      <c r="J6" s="9">
        <f>1/F6</f>
        <v>0.8130081300813008</v>
      </c>
    </row>
    <row r="7" spans="1:7" ht="12.75">
      <c r="A7" t="s">
        <v>84</v>
      </c>
      <c r="B7" s="9">
        <f>1/B6</f>
        <v>16.718570318570315</v>
      </c>
      <c r="C7" s="9">
        <f>1/C6</f>
        <v>13.040484848484844</v>
      </c>
      <c r="D7" t="s">
        <v>69</v>
      </c>
      <c r="E7" s="9">
        <f>1/E6</f>
        <v>1.0423181154888472</v>
      </c>
      <c r="F7" s="9">
        <f>1/F6</f>
        <v>0.8130081300813008</v>
      </c>
      <c r="G7" t="s">
        <v>68</v>
      </c>
    </row>
    <row r="8" spans="2:7" ht="12.75">
      <c r="B8" s="9"/>
      <c r="C8" s="9"/>
      <c r="D8" s="7"/>
      <c r="E8" s="9"/>
      <c r="F8" s="9"/>
      <c r="G8" s="7"/>
    </row>
    <row r="9" spans="1:11" ht="12.75">
      <c r="A9" t="s">
        <v>57</v>
      </c>
      <c r="B9" s="9">
        <v>190</v>
      </c>
      <c r="C9" s="9">
        <v>190</v>
      </c>
      <c r="D9" t="s">
        <v>70</v>
      </c>
      <c r="E9" s="9">
        <f>B9/2.2</f>
        <v>86.36363636363636</v>
      </c>
      <c r="F9" s="9">
        <f>C9/2.2</f>
        <v>86.36363636363636</v>
      </c>
      <c r="G9" t="s">
        <v>71</v>
      </c>
      <c r="K9" t="s">
        <v>5</v>
      </c>
    </row>
    <row r="10" spans="1:7" ht="12.75">
      <c r="A10" t="s">
        <v>59</v>
      </c>
      <c r="B10" s="9">
        <f>B9*B7</f>
        <v>3176.52836052836</v>
      </c>
      <c r="C10" s="9">
        <f>C9*C7</f>
        <v>2477.6921212121206</v>
      </c>
      <c r="D10" t="s">
        <v>72</v>
      </c>
      <c r="E10" s="9">
        <f>E9*E7</f>
        <v>90.01838270130953</v>
      </c>
      <c r="F10" s="9">
        <f>F9*F7</f>
        <v>70.21433850702142</v>
      </c>
      <c r="G10" t="s">
        <v>73</v>
      </c>
    </row>
    <row r="11" spans="9:10" ht="12.75">
      <c r="I11" s="7"/>
      <c r="J11" s="7"/>
    </row>
    <row r="12" spans="1:10" ht="12.75">
      <c r="A12" t="s">
        <v>56</v>
      </c>
      <c r="B12">
        <v>6</v>
      </c>
      <c r="C12">
        <v>2</v>
      </c>
      <c r="F12">
        <v>2</v>
      </c>
      <c r="J12" s="7"/>
    </row>
    <row r="13" spans="1:10" ht="12.75">
      <c r="A13" t="s">
        <v>76</v>
      </c>
      <c r="B13">
        <f>B12*B9</f>
        <v>1140</v>
      </c>
      <c r="C13">
        <f>C12*C9</f>
        <v>380</v>
      </c>
      <c r="D13" t="s">
        <v>70</v>
      </c>
      <c r="F13" s="12">
        <f>F12*F9</f>
        <v>172.72727272727272</v>
      </c>
      <c r="G13" t="s">
        <v>77</v>
      </c>
      <c r="J13" s="7"/>
    </row>
    <row r="14" spans="1:12" ht="12.75">
      <c r="A14" t="s">
        <v>58</v>
      </c>
      <c r="B14" s="2">
        <f>B10*B12</f>
        <v>19059.170163170158</v>
      </c>
      <c r="C14" s="2">
        <f>C10*C12</f>
        <v>4955.384242424241</v>
      </c>
      <c r="D14" t="s">
        <v>22</v>
      </c>
      <c r="E14" s="2"/>
      <c r="F14" s="2">
        <f>F10*F12</f>
        <v>140.42867701404285</v>
      </c>
      <c r="G14" t="s">
        <v>73</v>
      </c>
      <c r="I14" t="s">
        <v>89</v>
      </c>
      <c r="J14" t="s">
        <v>90</v>
      </c>
      <c r="K14" t="s">
        <v>93</v>
      </c>
      <c r="L14" t="s">
        <v>94</v>
      </c>
    </row>
    <row r="15" spans="8:12" ht="12.75">
      <c r="H15" t="s">
        <v>78</v>
      </c>
      <c r="I15" s="7">
        <v>230</v>
      </c>
      <c r="J15" s="7">
        <f>I15/2.2</f>
        <v>104.54545454545453</v>
      </c>
      <c r="K15">
        <v>1</v>
      </c>
      <c r="L15">
        <v>1.32</v>
      </c>
    </row>
    <row r="16" spans="1:10" ht="12.75">
      <c r="A16" t="s">
        <v>60</v>
      </c>
      <c r="B16">
        <v>5</v>
      </c>
      <c r="H16" t="s">
        <v>79</v>
      </c>
      <c r="I16" s="7">
        <f>J5*I15</f>
        <v>2999.3115151515144</v>
      </c>
      <c r="J16" s="7">
        <f>J6*J15</f>
        <v>84.99630450849962</v>
      </c>
    </row>
    <row r="17" spans="1:11" ht="12.75">
      <c r="A17" t="s">
        <v>61</v>
      </c>
      <c r="B17" s="2">
        <f>B14*B16</f>
        <v>95295.85081585079</v>
      </c>
      <c r="E17" s="2"/>
      <c r="H17" t="s">
        <v>80</v>
      </c>
      <c r="I17" s="7">
        <f>J17*J3</f>
        <v>257.5991295999999</v>
      </c>
      <c r="J17" s="7">
        <v>7.3</v>
      </c>
      <c r="K17" t="s">
        <v>5</v>
      </c>
    </row>
    <row r="18" spans="8:10" ht="12.75">
      <c r="H18" t="s">
        <v>92</v>
      </c>
      <c r="I18">
        <f>I17/J5</f>
        <v>19.7538</v>
      </c>
      <c r="J18">
        <f>J17/J6</f>
        <v>8.979</v>
      </c>
    </row>
    <row r="19" spans="8:10" ht="12.75">
      <c r="H19" t="s">
        <v>81</v>
      </c>
      <c r="I19" s="7">
        <f>I16/I17</f>
        <v>11.643329384725979</v>
      </c>
      <c r="J19" s="7">
        <f>J16/J17</f>
        <v>11.643329384725975</v>
      </c>
    </row>
    <row r="20" spans="8:12" ht="12.75">
      <c r="H20" t="s">
        <v>95</v>
      </c>
      <c r="K20">
        <f>L20/L15</f>
        <v>166.66666666666666</v>
      </c>
      <c r="L20">
        <v>220</v>
      </c>
    </row>
    <row r="21" spans="1:9" ht="12.75">
      <c r="A21" t="s">
        <v>82</v>
      </c>
      <c r="C21" s="11" t="s">
        <v>83</v>
      </c>
      <c r="D21" t="s">
        <v>108</v>
      </c>
      <c r="H21" t="s">
        <v>96</v>
      </c>
      <c r="I21" s="8">
        <f>K20*I19</f>
        <v>1940.5548974543296</v>
      </c>
    </row>
    <row r="23" spans="8:10" ht="12.75">
      <c r="H23" t="s">
        <v>97</v>
      </c>
      <c r="J23">
        <v>7</v>
      </c>
    </row>
    <row r="24" spans="8:10" ht="12.75">
      <c r="H24" t="s">
        <v>98</v>
      </c>
      <c r="J24" s="9">
        <f>J23/J18</f>
        <v>0.7795968370642611</v>
      </c>
    </row>
    <row r="25" spans="8:9" ht="12.75">
      <c r="H25" t="s">
        <v>99</v>
      </c>
      <c r="I25">
        <f>I19/J24</f>
        <v>14.935064935064936</v>
      </c>
    </row>
  </sheetData>
  <mergeCells count="2">
    <mergeCell ref="B3:D3"/>
    <mergeCell ref="E3:G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Deshler</cp:lastModifiedBy>
  <cp:lastPrinted>2006-02-28T15:29:47Z</cp:lastPrinted>
  <dcterms:modified xsi:type="dcterms:W3CDTF">2006-02-28T15:29:51Z</dcterms:modified>
  <cp:category/>
  <cp:version/>
  <cp:contentType/>
  <cp:contentStatus/>
</cp:coreProperties>
</file>